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7365" tabRatio="516" activeTab="1"/>
  </bookViews>
  <sheets>
    <sheet name="DATOS" sheetId="1" r:id="rId1"/>
    <sheet name="FORMULA#2" sheetId="2" r:id="rId2"/>
  </sheets>
  <definedNames>
    <definedName name="datos">'DATOS'!$A$7:$C$26</definedName>
    <definedName name="PRESUPUESTO">'DATOS'!$A$4:$C$4</definedName>
  </definedNames>
  <calcPr fullCalcOnLoad="1"/>
</workbook>
</file>

<file path=xl/comments1.xml><?xml version="1.0" encoding="utf-8"?>
<comments xmlns="http://schemas.openxmlformats.org/spreadsheetml/2006/main">
  <authors>
    <author>NIKANDRO</author>
  </authors>
  <commentList>
    <comment ref="A3" authorId="0">
      <text>
        <r>
          <rPr>
            <b/>
            <sz val="9"/>
            <rFont val="Tahoma"/>
            <family val="2"/>
          </rPr>
          <t>CONVENIO 3203:</t>
        </r>
        <r>
          <rPr>
            <sz val="9"/>
            <rFont val="Tahoma"/>
            <family val="2"/>
          </rPr>
          <t xml:space="preserve">
Favor colocar en las celdas donde no hayan proponentes cero (0)</t>
        </r>
      </text>
    </comment>
  </commentList>
</comments>
</file>

<file path=xl/sharedStrings.xml><?xml version="1.0" encoding="utf-8"?>
<sst xmlns="http://schemas.openxmlformats.org/spreadsheetml/2006/main" count="78" uniqueCount="55">
  <si>
    <t>FORMULA #2 MEDIA GEOMÉTRICA</t>
  </si>
  <si>
    <t>PROPONENTES</t>
  </si>
  <si>
    <t>VALOR DE LA PROPUESTA TOTAL</t>
  </si>
  <si>
    <t>PRESUPUESTO OFICIAL</t>
  </si>
  <si>
    <t>RANGO ADMISIBLE</t>
  </si>
  <si>
    <t>SI</t>
  </si>
  <si>
    <t>NO</t>
  </si>
  <si>
    <t>NO MODIFICAR</t>
  </si>
  <si>
    <t>VALORES ADMISIBLES</t>
  </si>
  <si>
    <t>NÚMERO DE PROPONENTES</t>
  </si>
  <si>
    <t>FACTOR F DE TRABAJO</t>
  </si>
  <si>
    <t xml:space="preserve">FACTORES F </t>
  </si>
  <si>
    <t>F = 0,995*PG</t>
  </si>
  <si>
    <t>F = PG</t>
  </si>
  <si>
    <t>F = 1,005*PG</t>
  </si>
  <si>
    <t>PUNTAJE Pr</t>
  </si>
  <si>
    <t>PUNTAJE MÁXIMO</t>
  </si>
  <si>
    <t>EVALUACIÓN</t>
  </si>
  <si>
    <t>Factor Multiplicador y correcto diligenciamiento del formulario</t>
  </si>
  <si>
    <t>Valor en el rango admisible</t>
  </si>
  <si>
    <t>ADMISIBLE PARA LA EVALUACIÓN</t>
  </si>
  <si>
    <t>MEDIA GEOMÉTRICA PG</t>
  </si>
  <si>
    <t>VALOR BASICO DE LA PROPUESTA</t>
  </si>
  <si>
    <t>UNIVERSIDAD DEL CAUCA</t>
  </si>
  <si>
    <t>No.</t>
  </si>
  <si>
    <t>COMENTARIO IMPORTANTE</t>
  </si>
  <si>
    <t>Puntaje máximo</t>
  </si>
  <si>
    <t>PROGRAMADORES_</t>
  </si>
  <si>
    <t>JUAN PABLO MELO ORTIZ</t>
  </si>
  <si>
    <t>NIKANDRO MUÑOZ</t>
  </si>
  <si>
    <t>PRESUPUESTO OFICIAL ANTES DE IVA</t>
  </si>
  <si>
    <t>RUBEN ARISTIZABAL</t>
  </si>
  <si>
    <t>CONSORCIO INFRAESTRUCTURA UNIC.</t>
  </si>
  <si>
    <t xml:space="preserve">GUILLERMO ANDRES BELTRAN </t>
  </si>
  <si>
    <t>JOSE AICARDO MELO</t>
  </si>
  <si>
    <t>CONSORCIO A Y J</t>
  </si>
  <si>
    <t>XIMENA CALVACHE</t>
  </si>
  <si>
    <t>HENRY ARCE ARAGON</t>
  </si>
  <si>
    <t>UNION TEMPORAL N-D</t>
  </si>
  <si>
    <t>FRANCISCO NEFTALY SERPA</t>
  </si>
  <si>
    <t>CONSORCIO FRANKY RUIZ</t>
  </si>
  <si>
    <t>LUCIA ISABEL PARRA</t>
  </si>
  <si>
    <t>TORIBIO ANTONIO ANDRADE</t>
  </si>
  <si>
    <t>CRISTHIAN CAMILO MORENO</t>
  </si>
  <si>
    <t>FERNANDO ALONSO ORTIZ CASAS</t>
  </si>
  <si>
    <t>JUAN CARLOS MARTINEZ TEJADA</t>
  </si>
  <si>
    <t>CONSORCIO CARSOL</t>
  </si>
  <si>
    <t>MARIA EUGENI A TRUJILLO SOLARTE</t>
  </si>
  <si>
    <t>VICERRECTORIA ADMINISTRATIVA</t>
  </si>
  <si>
    <t>Popayán, noviembre 23 de 2010</t>
  </si>
  <si>
    <t>APLICACIÓN DE LA FORMULA No.  2 FACTOR 3</t>
  </si>
  <si>
    <t>ORDEN ELEGIBILIDAD</t>
  </si>
  <si>
    <r>
      <t xml:space="preserve">INVITACIÓN A COTIZAR  </t>
    </r>
    <r>
      <rPr>
        <b/>
        <sz val="9"/>
        <rFont val="Tahoma"/>
        <family val="2"/>
      </rPr>
      <t>No. 058</t>
    </r>
    <r>
      <rPr>
        <b/>
        <sz val="9"/>
        <color indexed="8"/>
        <rFont val="Tahoma"/>
        <family val="2"/>
      </rPr>
      <t xml:space="preserve"> DE  2010</t>
    </r>
  </si>
  <si>
    <t>OBRA CIVIL A TODO COSTO PARA EL MANTENIMIENTO, RESTAURACION, RECUPERACION DE CUBIERTA E INSONORIZACION DE SALONES</t>
  </si>
  <si>
    <t>Y CUBICULOS EN EL EDIFICIO DE LA FACULTAD DE ARTES DE LA UNIVERSIDAD DEL CAUCA - PRIMERA ETAPA</t>
  </si>
</sst>
</file>

<file path=xl/styles.xml><?xml version="1.0" encoding="utf-8"?>
<styleSheet xmlns="http://schemas.openxmlformats.org/spreadsheetml/2006/main">
  <numFmts count="4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  <numFmt numFmtId="181" formatCode="_(* #,##0_);_(* \(#,##0\);_(* &quot;-&quot;??_);_(@_)"/>
    <numFmt numFmtId="182" formatCode="[$$-500A]#,##0.00"/>
    <numFmt numFmtId="183" formatCode="[$$-500A]\ #,##0.00"/>
    <numFmt numFmtId="184" formatCode="[$$-240A]\ #,##0.000"/>
    <numFmt numFmtId="185" formatCode="0.0000"/>
    <numFmt numFmtId="186" formatCode="_(* #,##0.000_);_(* \(#,##0.000\);_(* &quot;-&quot;??_);_(@_)"/>
    <numFmt numFmtId="187" formatCode="_(* #,##0.0_);_(* \(#,##0.0\);_(* &quot;-&quot;??_);_(@_)"/>
    <numFmt numFmtId="188" formatCode="_(* #,##0.0000_);_(* \(#,##0.0000\);_(* &quot;-&quot;??_);_(@_)"/>
    <numFmt numFmtId="189" formatCode="_(* #,##0.00000_);_(* \(#,##0.00000\);_(* &quot;-&quot;??_);_(@_)"/>
    <numFmt numFmtId="190" formatCode="_(* #,##0.000000_);_(* \(#,##0.000000\);_(* &quot;-&quot;??_);_(@_)"/>
    <numFmt numFmtId="191" formatCode="_(* #,##0.0000000_);_(* \(#,##0.0000000\);_(* &quot;-&quot;??_);_(@_)"/>
    <numFmt numFmtId="192" formatCode="_(* #,##0.00000000_);_(* \(#,##0.00000000\);_(* &quot;-&quot;??_);_(@_)"/>
    <numFmt numFmtId="193" formatCode="_(* #,##0.000000000_);_(* \(#,##0.000000000\);_(* &quot;-&quot;??_);_(@_)"/>
    <numFmt numFmtId="194" formatCode="_(* #,##0.0000000000_);_(* \(#,##0.0000000000\);_(* &quot;-&quot;??_);_(@_)"/>
    <numFmt numFmtId="195" formatCode="_(* #,##0.00000000000_);_(* \(#,##0.00000000000\);_(* &quot;-&quot;??_);_(@_)"/>
    <numFmt numFmtId="196" formatCode="_(* #,##0.000000000000_);_(* \(#,##0.000000000000\);_(* &quot;-&quot;??_);_(@_)"/>
    <numFmt numFmtId="197" formatCode="_(* #,##0.0000000000000_);_(* \(#,##0.0000000000000\);_(* &quot;-&quot;??_);_(@_)"/>
    <numFmt numFmtId="198" formatCode="_(* #,##0.00000000000000_);_(* \(#,##0.00000000000000\);_(* &quot;-&quot;??_);_(@_)"/>
    <numFmt numFmtId="199" formatCode="0.000000"/>
    <numFmt numFmtId="200" formatCode="0.00000"/>
    <numFmt numFmtId="201" formatCode="[$$-240A]\ #.##0.000"/>
    <numFmt numFmtId="202" formatCode="0.0"/>
    <numFmt numFmtId="203" formatCode="[$$-240A]\ #,##0.0000"/>
    <numFmt numFmtId="204" formatCode="[$$-240A]\ 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name val="Algerian"/>
      <family val="5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Informal Roman"/>
      <family val="4"/>
    </font>
    <font>
      <sz val="8"/>
      <name val="Calibri"/>
      <family val="2"/>
    </font>
    <font>
      <b/>
      <sz val="10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80" fontId="0" fillId="0" borderId="0" xfId="0" applyNumberFormat="1" applyAlignment="1">
      <alignment horizontal="center"/>
    </xf>
    <xf numFmtId="0" fontId="0" fillId="0" borderId="0" xfId="0" applyFill="1" applyBorder="1" applyAlignment="1">
      <alignment vertical="center"/>
    </xf>
    <xf numFmtId="0" fontId="0" fillId="33" borderId="10" xfId="0" applyFill="1" applyBorder="1" applyAlignment="1">
      <alignment horizontal="center" wrapText="1"/>
    </xf>
    <xf numFmtId="180" fontId="0" fillId="35" borderId="10" xfId="0" applyNumberFormat="1" applyFill="1" applyBorder="1" applyAlignment="1">
      <alignment horizontal="center" vertical="center" wrapText="1"/>
    </xf>
    <xf numFmtId="1" fontId="0" fillId="36" borderId="0" xfId="0" applyNumberFormat="1" applyFill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7" borderId="10" xfId="0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 wrapText="1"/>
    </xf>
    <xf numFmtId="180" fontId="0" fillId="38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7" borderId="11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37" borderId="12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 wrapText="1"/>
    </xf>
    <xf numFmtId="184" fontId="0" fillId="0" borderId="0" xfId="0" applyNumberFormat="1" applyAlignment="1">
      <alignment horizontal="center" vertical="center" wrapText="1"/>
    </xf>
    <xf numFmtId="184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84" fontId="8" fillId="39" borderId="10" xfId="0" applyNumberFormat="1" applyFont="1" applyFill="1" applyBorder="1" applyAlignment="1">
      <alignment horizontal="right"/>
    </xf>
    <xf numFmtId="0" fontId="8" fillId="39" borderId="13" xfId="0" applyFont="1" applyFill="1" applyBorder="1" applyAlignment="1">
      <alignment/>
    </xf>
    <xf numFmtId="180" fontId="0" fillId="40" borderId="0" xfId="0" applyNumberFormat="1" applyFill="1" applyAlignment="1">
      <alignment horizontal="center" vertical="center"/>
    </xf>
    <xf numFmtId="180" fontId="0" fillId="40" borderId="0" xfId="0" applyNumberFormat="1" applyFill="1" applyAlignment="1">
      <alignment horizontal="center"/>
    </xf>
    <xf numFmtId="0" fontId="0" fillId="39" borderId="13" xfId="0" applyFill="1" applyBorder="1" applyAlignment="1">
      <alignment/>
    </xf>
    <xf numFmtId="0" fontId="0" fillId="39" borderId="14" xfId="0" applyFill="1" applyBorder="1" applyAlignment="1">
      <alignment/>
    </xf>
    <xf numFmtId="204" fontId="0" fillId="39" borderId="10" xfId="0" applyNumberForma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184" fontId="0" fillId="0" borderId="10" xfId="0" applyNumberFormat="1" applyFill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9" borderId="14" xfId="0" applyFill="1" applyBorder="1" applyAlignment="1">
      <alignment horizontal="center"/>
    </xf>
    <xf numFmtId="0" fontId="6" fillId="37" borderId="11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0" fillId="37" borderId="11" xfId="0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180" fontId="1" fillId="0" borderId="10" xfId="48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9" borderId="10" xfId="0" applyFill="1" applyBorder="1" applyAlignment="1">
      <alignment horizontal="center" vertical="center"/>
    </xf>
    <xf numFmtId="180" fontId="0" fillId="41" borderId="10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35" borderId="10" xfId="0" applyFont="1" applyFill="1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10" fillId="38" borderId="10" xfId="0" applyFont="1" applyFill="1" applyBorder="1" applyAlignment="1">
      <alignment horizontal="left" vertical="center"/>
    </xf>
    <xf numFmtId="0" fontId="4" fillId="37" borderId="15" xfId="0" applyFont="1" applyFill="1" applyBorder="1" applyAlignment="1">
      <alignment horizontal="center" vertical="center"/>
    </xf>
    <xf numFmtId="0" fontId="4" fillId="37" borderId="16" xfId="0" applyFont="1" applyFill="1" applyBorder="1" applyAlignment="1">
      <alignment horizontal="center" vertical="center"/>
    </xf>
    <xf numFmtId="0" fontId="4" fillId="37" borderId="17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0" fillId="37" borderId="1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4" fillId="0" borderId="0" xfId="0" applyFont="1" applyAlignment="1">
      <alignment horizontal="center"/>
    </xf>
    <xf numFmtId="0" fontId="9" fillId="37" borderId="19" xfId="0" applyFont="1" applyFill="1" applyBorder="1" applyAlignment="1">
      <alignment horizontal="center" vertical="center" wrapText="1"/>
    </xf>
    <xf numFmtId="0" fontId="9" fillId="37" borderId="20" xfId="0" applyFont="1" applyFill="1" applyBorder="1" applyAlignment="1">
      <alignment horizontal="center" vertical="center" wrapText="1"/>
    </xf>
    <xf numFmtId="0" fontId="9" fillId="37" borderId="1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8" borderId="23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76200</xdr:rowOff>
    </xdr:from>
    <xdr:to>
      <xdr:col>5</xdr:col>
      <xdr:colOff>1790700</xdr:colOff>
      <xdr:row>16</xdr:row>
      <xdr:rowOff>171450</xdr:rowOff>
    </xdr:to>
    <xdr:pic>
      <xdr:nvPicPr>
        <xdr:cNvPr id="1" name="1 Imagen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723900"/>
          <a:ext cx="278130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4">
      <selection activeCell="B24" sqref="B24"/>
    </sheetView>
  </sheetViews>
  <sheetFormatPr defaultColWidth="11.421875" defaultRowHeight="15"/>
  <cols>
    <col min="1" max="1" width="7.7109375" style="0" customWidth="1"/>
    <col min="2" max="2" width="37.140625" style="0" customWidth="1"/>
    <col min="3" max="3" width="19.421875" style="0" customWidth="1"/>
    <col min="4" max="4" width="6.8515625" style="0" customWidth="1"/>
    <col min="5" max="5" width="16.140625" style="0" customWidth="1"/>
    <col min="6" max="6" width="28.00390625" style="0" customWidth="1"/>
  </cols>
  <sheetData>
    <row r="1" spans="1:6" ht="36" customHeight="1">
      <c r="A1" s="60" t="s">
        <v>23</v>
      </c>
      <c r="B1" s="61"/>
      <c r="C1" s="61"/>
      <c r="D1" s="61"/>
      <c r="E1" s="61"/>
      <c r="F1" s="62"/>
    </row>
    <row r="3" spans="1:6" ht="24" customHeight="1">
      <c r="A3" s="63" t="s">
        <v>25</v>
      </c>
      <c r="B3" s="63"/>
      <c r="E3" s="64"/>
      <c r="F3" s="64"/>
    </row>
    <row r="4" spans="1:6" ht="25.5" customHeight="1">
      <c r="A4" s="13">
        <v>1</v>
      </c>
      <c r="B4" s="13" t="s">
        <v>30</v>
      </c>
      <c r="C4" s="33">
        <v>273251203</v>
      </c>
      <c r="E4" s="64"/>
      <c r="F4" s="64"/>
    </row>
    <row r="5" spans="5:6" ht="15">
      <c r="E5" s="64"/>
      <c r="F5" s="64"/>
    </row>
    <row r="6" spans="1:6" ht="45">
      <c r="A6" s="13" t="s">
        <v>24</v>
      </c>
      <c r="B6" s="13" t="s">
        <v>1</v>
      </c>
      <c r="C6" s="22" t="s">
        <v>22</v>
      </c>
      <c r="E6" s="64"/>
      <c r="F6" s="64"/>
    </row>
    <row r="7" spans="1:6" ht="15">
      <c r="A7" s="20">
        <v>1</v>
      </c>
      <c r="B7" s="28" t="s">
        <v>31</v>
      </c>
      <c r="C7" s="27">
        <v>271104453</v>
      </c>
      <c r="E7" s="64"/>
      <c r="F7" s="64"/>
    </row>
    <row r="8" spans="1:6" ht="15">
      <c r="A8" s="20">
        <v>2</v>
      </c>
      <c r="B8" s="28" t="s">
        <v>32</v>
      </c>
      <c r="C8" s="27">
        <v>269832323</v>
      </c>
      <c r="E8" s="64"/>
      <c r="F8" s="64"/>
    </row>
    <row r="9" spans="1:6" ht="15">
      <c r="A9" s="20">
        <v>3</v>
      </c>
      <c r="B9" s="28" t="s">
        <v>33</v>
      </c>
      <c r="C9" s="27">
        <v>271527809</v>
      </c>
      <c r="E9" s="64"/>
      <c r="F9" s="64"/>
    </row>
    <row r="10" spans="1:6" ht="15">
      <c r="A10" s="20">
        <v>4</v>
      </c>
      <c r="B10" s="28" t="s">
        <v>34</v>
      </c>
      <c r="C10" s="27">
        <v>269778100</v>
      </c>
      <c r="E10" s="64"/>
      <c r="F10" s="64"/>
    </row>
    <row r="11" spans="1:6" ht="15">
      <c r="A11" s="20">
        <v>5</v>
      </c>
      <c r="B11" s="28" t="s">
        <v>35</v>
      </c>
      <c r="C11" s="27">
        <v>269862511</v>
      </c>
      <c r="E11" s="64"/>
      <c r="F11" s="64"/>
    </row>
    <row r="12" spans="1:6" ht="15">
      <c r="A12" s="20">
        <v>6</v>
      </c>
      <c r="B12" s="28" t="s">
        <v>36</v>
      </c>
      <c r="C12" s="27">
        <v>272283024</v>
      </c>
      <c r="E12" s="64"/>
      <c r="F12" s="64"/>
    </row>
    <row r="13" spans="1:6" ht="15">
      <c r="A13" s="20">
        <v>7</v>
      </c>
      <c r="B13" s="28" t="s">
        <v>37</v>
      </c>
      <c r="C13" s="27">
        <v>271367840</v>
      </c>
      <c r="E13" s="64"/>
      <c r="F13" s="64"/>
    </row>
    <row r="14" spans="1:6" ht="15">
      <c r="A14" s="20">
        <v>8</v>
      </c>
      <c r="B14" s="28" t="s">
        <v>38</v>
      </c>
      <c r="C14" s="27">
        <v>271103448</v>
      </c>
      <c r="E14" s="64"/>
      <c r="F14" s="64"/>
    </row>
    <row r="15" spans="1:6" ht="15">
      <c r="A15" s="20">
        <v>9</v>
      </c>
      <c r="B15" s="28" t="s">
        <v>39</v>
      </c>
      <c r="C15" s="27">
        <v>271364140</v>
      </c>
      <c r="E15" s="64"/>
      <c r="F15" s="64"/>
    </row>
    <row r="16" spans="1:6" ht="15">
      <c r="A16" s="20">
        <v>10</v>
      </c>
      <c r="B16" s="28" t="s">
        <v>40</v>
      </c>
      <c r="C16" s="27">
        <v>271191015</v>
      </c>
      <c r="E16" s="64"/>
      <c r="F16" s="64"/>
    </row>
    <row r="17" spans="1:6" ht="15">
      <c r="A17" s="20">
        <v>11</v>
      </c>
      <c r="B17" s="28" t="s">
        <v>41</v>
      </c>
      <c r="C17" s="27">
        <v>272160515</v>
      </c>
      <c r="E17" s="64"/>
      <c r="F17" s="64"/>
    </row>
    <row r="18" spans="1:3" ht="15">
      <c r="A18" s="20">
        <v>12</v>
      </c>
      <c r="B18" s="28" t="s">
        <v>42</v>
      </c>
      <c r="C18" s="27">
        <v>269847335</v>
      </c>
    </row>
    <row r="19" spans="1:6" ht="16.5">
      <c r="A19" s="20">
        <v>13</v>
      </c>
      <c r="B19" s="28" t="s">
        <v>43</v>
      </c>
      <c r="C19" s="27">
        <v>272349240</v>
      </c>
      <c r="E19" s="65" t="s">
        <v>27</v>
      </c>
      <c r="F19" s="65"/>
    </row>
    <row r="20" spans="1:6" ht="15">
      <c r="A20" s="20">
        <v>14</v>
      </c>
      <c r="B20" s="28" t="s">
        <v>44</v>
      </c>
      <c r="C20" s="27">
        <v>269360658</v>
      </c>
      <c r="E20" s="59" t="s">
        <v>28</v>
      </c>
      <c r="F20" s="59"/>
    </row>
    <row r="21" spans="1:6" ht="15">
      <c r="A21" s="20">
        <v>15</v>
      </c>
      <c r="B21" s="28" t="s">
        <v>45</v>
      </c>
      <c r="C21" s="27">
        <v>269753898</v>
      </c>
      <c r="E21" s="59"/>
      <c r="F21" s="59"/>
    </row>
    <row r="22" spans="1:6" ht="15">
      <c r="A22" s="20">
        <v>16</v>
      </c>
      <c r="B22" s="31" t="s">
        <v>46</v>
      </c>
      <c r="C22" s="27">
        <v>268058025</v>
      </c>
      <c r="E22" s="59" t="s">
        <v>29</v>
      </c>
      <c r="F22" s="59"/>
    </row>
    <row r="23" spans="1:6" ht="15">
      <c r="A23" s="20">
        <v>17</v>
      </c>
      <c r="B23" s="31" t="s">
        <v>47</v>
      </c>
      <c r="C23" s="27">
        <v>269721945</v>
      </c>
      <c r="E23" s="59"/>
      <c r="F23" s="59"/>
    </row>
    <row r="24" spans="1:6" ht="15">
      <c r="A24" s="20">
        <v>18</v>
      </c>
      <c r="B24" s="32">
        <v>0</v>
      </c>
      <c r="C24" s="27">
        <v>0</v>
      </c>
      <c r="E24" s="17"/>
      <c r="F24" s="17"/>
    </row>
    <row r="25" spans="1:6" ht="15">
      <c r="A25" s="20">
        <v>19</v>
      </c>
      <c r="B25" s="32">
        <v>0</v>
      </c>
      <c r="C25" s="27">
        <v>0</v>
      </c>
      <c r="E25" s="17"/>
      <c r="F25" s="17"/>
    </row>
    <row r="26" spans="1:3" ht="15">
      <c r="A26" s="20">
        <v>20</v>
      </c>
      <c r="B26" s="32">
        <v>0</v>
      </c>
      <c r="C26" s="27">
        <v>0</v>
      </c>
    </row>
  </sheetData>
  <sheetProtection/>
  <mergeCells count="6">
    <mergeCell ref="E20:F21"/>
    <mergeCell ref="E22:F23"/>
    <mergeCell ref="A1:F1"/>
    <mergeCell ref="A3:B3"/>
    <mergeCell ref="E3:F17"/>
    <mergeCell ref="E19:F19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6"/>
  <sheetViews>
    <sheetView tabSelected="1" zoomScalePageLayoutView="0" workbookViewId="0" topLeftCell="A1">
      <selection activeCell="F20" sqref="F20"/>
    </sheetView>
  </sheetViews>
  <sheetFormatPr defaultColWidth="11.421875" defaultRowHeight="15" outlineLevelCol="1"/>
  <cols>
    <col min="1" max="1" width="6.7109375" style="0" customWidth="1"/>
    <col min="2" max="2" width="38.7109375" style="0" customWidth="1"/>
    <col min="3" max="3" width="18.57421875" style="0" customWidth="1"/>
    <col min="4" max="4" width="17.140625" style="0" customWidth="1"/>
    <col min="5" max="5" width="8.28125" style="0" customWidth="1"/>
    <col min="6" max="6" width="10.140625" style="0" customWidth="1"/>
    <col min="7" max="7" width="18.7109375" style="0" hidden="1" customWidth="1" outlineLevel="1"/>
    <col min="8" max="8" width="17.57421875" style="0" hidden="1" customWidth="1" outlineLevel="1"/>
    <col min="9" max="9" width="15.00390625" style="0" hidden="1" customWidth="1" outlineLevel="1"/>
    <col min="10" max="10" width="14.28125" style="0" customWidth="1" collapsed="1"/>
    <col min="11" max="11" width="14.140625" style="0" customWidth="1"/>
    <col min="12" max="13" width="11.421875" style="0" hidden="1" customWidth="1" outlineLevel="1"/>
    <col min="14" max="14" width="0.13671875" style="0" hidden="1" customWidth="1" outlineLevel="1"/>
    <col min="15" max="15" width="0.13671875" style="0" customWidth="1" outlineLevel="1"/>
    <col min="16" max="19" width="2.7109375" style="0" customWidth="1"/>
  </cols>
  <sheetData>
    <row r="1" spans="1:25" s="17" customFormat="1" ht="15">
      <c r="A1" s="71" t="s">
        <v>23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34"/>
      <c r="U1" s="34"/>
      <c r="V1" s="34"/>
      <c r="W1" s="34"/>
      <c r="X1" s="34"/>
      <c r="Y1" s="34"/>
    </row>
    <row r="2" spans="1:25" s="17" customFormat="1" ht="15">
      <c r="A2" s="71" t="s">
        <v>48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34"/>
      <c r="U2" s="34"/>
      <c r="V2" s="34"/>
      <c r="W2" s="34"/>
      <c r="X2" s="34"/>
      <c r="Y2" s="34"/>
    </row>
    <row r="3" spans="1:25" s="17" customFormat="1" ht="15">
      <c r="A3" s="72" t="s">
        <v>52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35"/>
      <c r="U3" s="35"/>
      <c r="V3" s="35"/>
      <c r="W3" s="35"/>
      <c r="X3" s="35"/>
      <c r="Y3" s="35"/>
    </row>
    <row r="4" spans="1:25" s="17" customFormat="1" ht="15">
      <c r="A4" s="73" t="s">
        <v>53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36"/>
      <c r="U4" s="36"/>
      <c r="V4" s="36"/>
      <c r="W4" s="36"/>
      <c r="X4" s="36"/>
      <c r="Y4" s="36"/>
    </row>
    <row r="5" spans="1:25" s="17" customFormat="1" ht="15">
      <c r="A5" s="73" t="s">
        <v>54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36"/>
      <c r="U5" s="36"/>
      <c r="V5" s="36"/>
      <c r="W5" s="36"/>
      <c r="X5" s="36"/>
      <c r="Y5" s="36"/>
    </row>
    <row r="6" spans="1:19" s="17" customFormat="1" ht="1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25" s="17" customFormat="1" ht="15.75">
      <c r="A7" s="67" t="s">
        <v>50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37"/>
      <c r="U7" s="37"/>
      <c r="V7" s="37"/>
      <c r="W7" s="37"/>
      <c r="X7" s="37"/>
      <c r="Y7" s="37"/>
    </row>
    <row r="8" s="17" customFormat="1" ht="15"/>
    <row r="9" spans="10:11" ht="15">
      <c r="J9" s="66" t="s">
        <v>49</v>
      </c>
      <c r="K9" s="66"/>
    </row>
    <row r="10" spans="1:11" ht="24" customHeight="1">
      <c r="A10" s="58"/>
      <c r="B10" s="78" t="s">
        <v>0</v>
      </c>
      <c r="C10" s="79"/>
      <c r="D10" s="79"/>
      <c r="E10" s="79"/>
      <c r="F10" s="79"/>
      <c r="G10" s="79"/>
      <c r="H10" s="79"/>
      <c r="I10" s="79"/>
      <c r="J10" s="79"/>
      <c r="K10" s="79"/>
    </row>
    <row r="11" spans="1:10" ht="24" customHeight="1">
      <c r="A11" s="25">
        <v>1</v>
      </c>
      <c r="B11" s="18" t="s">
        <v>3</v>
      </c>
      <c r="C11" s="38">
        <f>VLOOKUP(A11,PRESUPUESTO,3)</f>
        <v>273251203</v>
      </c>
      <c r="D11" s="23"/>
      <c r="E11" s="2"/>
      <c r="F11" s="2"/>
      <c r="G11" s="2"/>
      <c r="H11" s="2"/>
      <c r="I11" s="2"/>
      <c r="J11" s="2"/>
    </row>
    <row r="12" spans="1:4" ht="18" customHeight="1">
      <c r="A12" s="25"/>
      <c r="B12" s="16" t="s">
        <v>4</v>
      </c>
      <c r="C12" s="39">
        <f>C11*0.95</f>
        <v>259588642.85</v>
      </c>
      <c r="D12" s="39">
        <f>C11</f>
        <v>273251203</v>
      </c>
    </row>
    <row r="13" spans="2:3" ht="18" customHeight="1">
      <c r="B13" s="3"/>
      <c r="C13" s="1"/>
    </row>
    <row r="14" spans="2:6" ht="18" customHeight="1">
      <c r="B14" s="74" t="s">
        <v>11</v>
      </c>
      <c r="C14" s="11" t="s">
        <v>12</v>
      </c>
      <c r="D14" s="40">
        <f>0.995*H18</f>
        <v>269271794.7712822</v>
      </c>
      <c r="E14" s="41" t="s">
        <v>6</v>
      </c>
      <c r="F14" s="6"/>
    </row>
    <row r="15" spans="2:6" ht="18" customHeight="1">
      <c r="B15" s="75"/>
      <c r="C15" s="11" t="s">
        <v>13</v>
      </c>
      <c r="D15" s="40">
        <f>H18</f>
        <v>270624919.3681228</v>
      </c>
      <c r="E15" s="41" t="s">
        <v>6</v>
      </c>
      <c r="F15" s="6"/>
    </row>
    <row r="16" spans="2:6" ht="18" customHeight="1">
      <c r="B16" s="76"/>
      <c r="C16" s="12" t="s">
        <v>14</v>
      </c>
      <c r="D16" s="40">
        <f>1.005*H18</f>
        <v>271978043.9649634</v>
      </c>
      <c r="E16" s="41" t="s">
        <v>5</v>
      </c>
      <c r="F16" s="6"/>
    </row>
    <row r="17" spans="1:19" ht="42.75" customHeight="1">
      <c r="A17" s="19" t="s">
        <v>24</v>
      </c>
      <c r="B17" s="21" t="s">
        <v>1</v>
      </c>
      <c r="C17" s="22" t="s">
        <v>2</v>
      </c>
      <c r="D17" s="14" t="s">
        <v>18</v>
      </c>
      <c r="E17" s="43" t="s">
        <v>19</v>
      </c>
      <c r="F17" s="44" t="s">
        <v>20</v>
      </c>
      <c r="G17" s="45" t="s">
        <v>8</v>
      </c>
      <c r="H17" s="45" t="s">
        <v>21</v>
      </c>
      <c r="I17" s="45" t="s">
        <v>10</v>
      </c>
      <c r="J17" s="45" t="s">
        <v>15</v>
      </c>
      <c r="K17" s="46" t="s">
        <v>17</v>
      </c>
      <c r="P17" s="68" t="s">
        <v>51</v>
      </c>
      <c r="Q17" s="69"/>
      <c r="R17" s="69"/>
      <c r="S17" s="70"/>
    </row>
    <row r="18" spans="1:19" ht="15">
      <c r="A18" s="20">
        <v>1</v>
      </c>
      <c r="B18" s="20" t="str">
        <f aca="true" t="shared" si="0" ref="B18:B34">VLOOKUP(A18,datos,2)</f>
        <v>RUBEN ARISTIZABAL</v>
      </c>
      <c r="C18" s="24">
        <f aca="true" t="shared" si="1" ref="C18:C34">VLOOKUP(A18,datos,3)</f>
        <v>271104453</v>
      </c>
      <c r="D18" s="42" t="s">
        <v>5</v>
      </c>
      <c r="E18" s="41" t="str">
        <f>IF(C18&lt;$C$12,"NO",IF(C18&gt;$D$12,"NO","SI"))</f>
        <v>SI</v>
      </c>
      <c r="F18" s="41" t="str">
        <f>IF(AND(D18="SI",E18="SI"),"SI","NO")</f>
        <v>SI</v>
      </c>
      <c r="G18" s="40">
        <f>IF(F18="SI",C18,1)</f>
        <v>271104453</v>
      </c>
      <c r="H18" s="15">
        <f>(PRODUCT(G18:G34,))^(1/G36)</f>
        <v>270624919.3681228</v>
      </c>
      <c r="I18" s="15">
        <f>SUM(D42:D44)</f>
        <v>271978043.9649634</v>
      </c>
      <c r="J18" s="40">
        <f>((1-(ABS((G18-$I$18)/$I$18))^0.5))*1000</f>
        <v>943.325572230207</v>
      </c>
      <c r="K18" s="41">
        <f aca="true" t="shared" si="2" ref="K18:K34">IF(J18=$J$37,"GANADOR","")</f>
      </c>
      <c r="L18" s="40">
        <f aca="true" t="shared" si="3" ref="L18:L34">IF(J18&lt;&gt;$J$37,J18,"N")</f>
        <v>943.325572230207</v>
      </c>
      <c r="M18" s="47">
        <f aca="true" t="shared" si="4" ref="M18:M34">IF(L18&lt;&gt;$L$36,L18,"N")</f>
        <v>943.325572230207</v>
      </c>
      <c r="N18" s="48">
        <f aca="true" t="shared" si="5" ref="N18:N34">IF(M18&lt;&gt;$M$36,M18,"N")</f>
        <v>943.325572230207</v>
      </c>
      <c r="O18" s="40">
        <f aca="true" t="shared" si="6" ref="O18:O34">IF(N18&lt;&gt;$N$36,N18,"N")</f>
        <v>943.325572230207</v>
      </c>
      <c r="P18" s="41">
        <f aca="true" t="shared" si="7" ref="P18:P34">IF(L18=$L$36,"2º","")</f>
      </c>
      <c r="Q18" s="41">
        <f aca="true" t="shared" si="8" ref="Q18:Q34">IF(M18=$M$36,"3º","")</f>
      </c>
      <c r="R18" s="41">
        <f aca="true" t="shared" si="9" ref="R18:R34">IF(N18=$N$36,"4º","")</f>
      </c>
      <c r="S18" s="41">
        <f aca="true" t="shared" si="10" ref="S18:S34">IF(O18=$O$36,"5º","")</f>
      </c>
    </row>
    <row r="19" spans="1:19" ht="15">
      <c r="A19" s="20">
        <v>2</v>
      </c>
      <c r="B19" s="20" t="str">
        <f t="shared" si="0"/>
        <v>CONSORCIO INFRAESTRUCTURA UNIC.</v>
      </c>
      <c r="C19" s="24">
        <f t="shared" si="1"/>
        <v>269832323</v>
      </c>
      <c r="D19" s="42" t="s">
        <v>5</v>
      </c>
      <c r="E19" s="41" t="str">
        <f aca="true" t="shared" si="11" ref="E19:E34">IF(C19&lt;$C$12,"NO",IF(C19&gt;$D$12,"NO","SI"))</f>
        <v>SI</v>
      </c>
      <c r="F19" s="41" t="str">
        <f aca="true" t="shared" si="12" ref="F19:F34">IF(AND(D19="SI",E19="SI"),"SI","NO")</f>
        <v>SI</v>
      </c>
      <c r="G19" s="40">
        <f aca="true" t="shared" si="13" ref="G19:G34">IF(F19="SI",C19,1)</f>
        <v>269832323</v>
      </c>
      <c r="H19" s="47"/>
      <c r="I19" s="49"/>
      <c r="J19" s="40">
        <f aca="true" t="shared" si="14" ref="J19:J34">((1-(ABS((G19-$I$18)/$I$18))^0.5))*1000</f>
        <v>911.1781735745047</v>
      </c>
      <c r="K19" s="41">
        <f t="shared" si="2"/>
      </c>
      <c r="L19" s="40">
        <f t="shared" si="3"/>
        <v>911.1781735745047</v>
      </c>
      <c r="M19" s="47">
        <f t="shared" si="4"/>
        <v>911.1781735745047</v>
      </c>
      <c r="N19" s="48">
        <f t="shared" si="5"/>
        <v>911.1781735745047</v>
      </c>
      <c r="O19" s="40">
        <f t="shared" si="6"/>
        <v>911.1781735745047</v>
      </c>
      <c r="P19" s="41">
        <f t="shared" si="7"/>
      </c>
      <c r="Q19" s="41">
        <f t="shared" si="8"/>
      </c>
      <c r="R19" s="41">
        <f t="shared" si="9"/>
      </c>
      <c r="S19" s="41">
        <f t="shared" si="10"/>
      </c>
    </row>
    <row r="20" spans="1:19" ht="15">
      <c r="A20" s="20">
        <v>3</v>
      </c>
      <c r="B20" s="20" t="str">
        <f t="shared" si="0"/>
        <v>GUILLERMO ANDRES BELTRAN </v>
      </c>
      <c r="C20" s="24">
        <f t="shared" si="1"/>
        <v>271527809</v>
      </c>
      <c r="D20" s="42" t="s">
        <v>5</v>
      </c>
      <c r="E20" s="41" t="str">
        <f t="shared" si="11"/>
        <v>SI</v>
      </c>
      <c r="F20" s="41" t="str">
        <f t="shared" si="12"/>
        <v>SI</v>
      </c>
      <c r="G20" s="40">
        <f t="shared" si="13"/>
        <v>271527809</v>
      </c>
      <c r="H20" s="50"/>
      <c r="I20" s="50"/>
      <c r="J20" s="40">
        <f t="shared" si="14"/>
        <v>959.3132794108049</v>
      </c>
      <c r="K20" s="41">
        <f t="shared" si="2"/>
      </c>
      <c r="L20" s="40">
        <f t="shared" si="3"/>
        <v>959.3132794108049</v>
      </c>
      <c r="M20" s="47">
        <f t="shared" si="4"/>
        <v>959.3132794108049</v>
      </c>
      <c r="N20" s="48">
        <f t="shared" si="5"/>
        <v>959.3132794108049</v>
      </c>
      <c r="O20" s="40" t="str">
        <f t="shared" si="6"/>
        <v>N</v>
      </c>
      <c r="P20" s="41">
        <f t="shared" si="7"/>
      </c>
      <c r="Q20" s="41">
        <f t="shared" si="8"/>
      </c>
      <c r="R20" s="41" t="str">
        <f t="shared" si="9"/>
        <v>4º</v>
      </c>
      <c r="S20" s="41">
        <f t="shared" si="10"/>
      </c>
    </row>
    <row r="21" spans="1:19" ht="15">
      <c r="A21" s="20">
        <v>4</v>
      </c>
      <c r="B21" s="20" t="str">
        <f t="shared" si="0"/>
        <v>JOSE AICARDO MELO</v>
      </c>
      <c r="C21" s="24">
        <f t="shared" si="1"/>
        <v>269778100</v>
      </c>
      <c r="D21" s="42" t="s">
        <v>5</v>
      </c>
      <c r="E21" s="41" t="str">
        <f t="shared" si="11"/>
        <v>SI</v>
      </c>
      <c r="F21" s="41" t="str">
        <f t="shared" si="12"/>
        <v>SI</v>
      </c>
      <c r="G21" s="40">
        <f t="shared" si="13"/>
        <v>269778100</v>
      </c>
      <c r="H21" s="50"/>
      <c r="I21" s="50"/>
      <c r="J21" s="40">
        <f t="shared" si="14"/>
        <v>910.0628986058516</v>
      </c>
      <c r="K21" s="41">
        <f t="shared" si="2"/>
      </c>
      <c r="L21" s="40">
        <f t="shared" si="3"/>
        <v>910.0628986058516</v>
      </c>
      <c r="M21" s="47">
        <f t="shared" si="4"/>
        <v>910.0628986058516</v>
      </c>
      <c r="N21" s="48">
        <f t="shared" si="5"/>
        <v>910.0628986058516</v>
      </c>
      <c r="O21" s="40">
        <f t="shared" si="6"/>
        <v>910.0628986058516</v>
      </c>
      <c r="P21" s="41">
        <f t="shared" si="7"/>
      </c>
      <c r="Q21" s="41">
        <f t="shared" si="8"/>
      </c>
      <c r="R21" s="41">
        <f t="shared" si="9"/>
      </c>
      <c r="S21" s="41">
        <f t="shared" si="10"/>
      </c>
    </row>
    <row r="22" spans="1:19" ht="15">
      <c r="A22" s="20">
        <v>5</v>
      </c>
      <c r="B22" s="20" t="str">
        <f t="shared" si="0"/>
        <v>CONSORCIO A Y J</v>
      </c>
      <c r="C22" s="24">
        <f t="shared" si="1"/>
        <v>269862511</v>
      </c>
      <c r="D22" s="42" t="s">
        <v>5</v>
      </c>
      <c r="E22" s="41" t="str">
        <f t="shared" si="11"/>
        <v>SI</v>
      </c>
      <c r="F22" s="41" t="str">
        <f t="shared" si="12"/>
        <v>SI</v>
      </c>
      <c r="G22" s="40">
        <f t="shared" si="13"/>
        <v>269862511</v>
      </c>
      <c r="H22" s="50"/>
      <c r="I22" s="50"/>
      <c r="J22" s="40">
        <f t="shared" si="14"/>
        <v>911.8052008568112</v>
      </c>
      <c r="K22" s="41">
        <f t="shared" si="2"/>
      </c>
      <c r="L22" s="40">
        <f t="shared" si="3"/>
        <v>911.8052008568112</v>
      </c>
      <c r="M22" s="47">
        <f t="shared" si="4"/>
        <v>911.8052008568112</v>
      </c>
      <c r="N22" s="48">
        <f t="shared" si="5"/>
        <v>911.8052008568112</v>
      </c>
      <c r="O22" s="40">
        <f t="shared" si="6"/>
        <v>911.8052008568112</v>
      </c>
      <c r="P22" s="41">
        <f t="shared" si="7"/>
      </c>
      <c r="Q22" s="41">
        <f t="shared" si="8"/>
      </c>
      <c r="R22" s="41">
        <f t="shared" si="9"/>
      </c>
      <c r="S22" s="41">
        <f t="shared" si="10"/>
      </c>
    </row>
    <row r="23" spans="1:19" ht="15">
      <c r="A23" s="20">
        <v>6</v>
      </c>
      <c r="B23" s="20" t="str">
        <f t="shared" si="0"/>
        <v>XIMENA CALVACHE</v>
      </c>
      <c r="C23" s="24">
        <f t="shared" si="1"/>
        <v>272283024</v>
      </c>
      <c r="D23" s="42" t="s">
        <v>5</v>
      </c>
      <c r="E23" s="41" t="str">
        <f t="shared" si="11"/>
        <v>SI</v>
      </c>
      <c r="F23" s="41" t="str">
        <f t="shared" si="12"/>
        <v>SI</v>
      </c>
      <c r="G23" s="40">
        <f t="shared" si="13"/>
        <v>272283024</v>
      </c>
      <c r="H23" s="50"/>
      <c r="I23" s="50"/>
      <c r="J23" s="40">
        <f t="shared" si="14"/>
        <v>966.5135752246978</v>
      </c>
      <c r="K23" s="41">
        <f t="shared" si="2"/>
      </c>
      <c r="L23" s="40">
        <f t="shared" si="3"/>
        <v>966.5135752246978</v>
      </c>
      <c r="M23" s="47" t="str">
        <f t="shared" si="4"/>
        <v>N</v>
      </c>
      <c r="N23" s="48" t="str">
        <f t="shared" si="5"/>
        <v>N</v>
      </c>
      <c r="O23" s="40" t="str">
        <f t="shared" si="6"/>
        <v>N</v>
      </c>
      <c r="P23" s="41" t="str">
        <f t="shared" si="7"/>
        <v>2º</v>
      </c>
      <c r="Q23" s="41">
        <f t="shared" si="8"/>
      </c>
      <c r="R23" s="41">
        <f t="shared" si="9"/>
      </c>
      <c r="S23" s="41">
        <f t="shared" si="10"/>
      </c>
    </row>
    <row r="24" spans="1:19" ht="15">
      <c r="A24" s="20">
        <v>7</v>
      </c>
      <c r="B24" s="20" t="str">
        <f t="shared" si="0"/>
        <v>HENRY ARCE ARAGON</v>
      </c>
      <c r="C24" s="24">
        <f t="shared" si="1"/>
        <v>271367840</v>
      </c>
      <c r="D24" s="42" t="s">
        <v>5</v>
      </c>
      <c r="E24" s="41" t="str">
        <f t="shared" si="11"/>
        <v>SI</v>
      </c>
      <c r="F24" s="41" t="str">
        <f t="shared" si="12"/>
        <v>SI</v>
      </c>
      <c r="G24" s="40">
        <f t="shared" si="13"/>
        <v>271367840</v>
      </c>
      <c r="H24" s="50"/>
      <c r="I24" s="50"/>
      <c r="J24" s="40">
        <f t="shared" si="14"/>
        <v>952.6335769427329</v>
      </c>
      <c r="K24" s="41">
        <f t="shared" si="2"/>
      </c>
      <c r="L24" s="40">
        <f t="shared" si="3"/>
        <v>952.6335769427329</v>
      </c>
      <c r="M24" s="47">
        <f t="shared" si="4"/>
        <v>952.6335769427329</v>
      </c>
      <c r="N24" s="48">
        <f t="shared" si="5"/>
        <v>952.6335769427329</v>
      </c>
      <c r="O24" s="40">
        <f t="shared" si="6"/>
        <v>952.6335769427329</v>
      </c>
      <c r="P24" s="41">
        <f t="shared" si="7"/>
      </c>
      <c r="Q24" s="41">
        <f t="shared" si="8"/>
      </c>
      <c r="R24" s="41">
        <f t="shared" si="9"/>
      </c>
      <c r="S24" s="41" t="str">
        <f t="shared" si="10"/>
        <v>5º</v>
      </c>
    </row>
    <row r="25" spans="1:19" ht="15">
      <c r="A25" s="20">
        <v>8</v>
      </c>
      <c r="B25" s="20" t="str">
        <f t="shared" si="0"/>
        <v>UNION TEMPORAL N-D</v>
      </c>
      <c r="C25" s="24">
        <f t="shared" si="1"/>
        <v>271103448</v>
      </c>
      <c r="D25" s="42" t="s">
        <v>5</v>
      </c>
      <c r="E25" s="41" t="str">
        <f t="shared" si="11"/>
        <v>SI</v>
      </c>
      <c r="F25" s="41" t="str">
        <f t="shared" si="12"/>
        <v>SI</v>
      </c>
      <c r="G25" s="40">
        <f t="shared" si="13"/>
        <v>271103448</v>
      </c>
      <c r="H25" s="50"/>
      <c r="I25" s="50"/>
      <c r="J25" s="40">
        <f t="shared" si="14"/>
        <v>943.2929817901708</v>
      </c>
      <c r="K25" s="41">
        <f t="shared" si="2"/>
      </c>
      <c r="L25" s="40">
        <f t="shared" si="3"/>
        <v>943.2929817901708</v>
      </c>
      <c r="M25" s="47">
        <f t="shared" si="4"/>
        <v>943.2929817901708</v>
      </c>
      <c r="N25" s="48">
        <f t="shared" si="5"/>
        <v>943.2929817901708</v>
      </c>
      <c r="O25" s="40">
        <f t="shared" si="6"/>
        <v>943.2929817901708</v>
      </c>
      <c r="P25" s="41">
        <f t="shared" si="7"/>
      </c>
      <c r="Q25" s="41">
        <f t="shared" si="8"/>
      </c>
      <c r="R25" s="41">
        <f t="shared" si="9"/>
      </c>
      <c r="S25" s="41">
        <f t="shared" si="10"/>
      </c>
    </row>
    <row r="26" spans="1:19" ht="15">
      <c r="A26" s="20">
        <v>9</v>
      </c>
      <c r="B26" s="20" t="str">
        <f t="shared" si="0"/>
        <v>FRANCISCO NEFTALY SERPA</v>
      </c>
      <c r="C26" s="24">
        <f t="shared" si="1"/>
        <v>271364140</v>
      </c>
      <c r="D26" s="42" t="s">
        <v>5</v>
      </c>
      <c r="E26" s="41" t="str">
        <f t="shared" si="11"/>
        <v>SI</v>
      </c>
      <c r="F26" s="41" t="str">
        <f t="shared" si="12"/>
        <v>SI</v>
      </c>
      <c r="G26" s="40">
        <f t="shared" si="13"/>
        <v>271364140</v>
      </c>
      <c r="H26" s="50"/>
      <c r="I26" s="50"/>
      <c r="J26" s="40">
        <f t="shared" si="14"/>
        <v>952.4901897231289</v>
      </c>
      <c r="K26" s="41">
        <f t="shared" si="2"/>
      </c>
      <c r="L26" s="40">
        <f t="shared" si="3"/>
        <v>952.4901897231289</v>
      </c>
      <c r="M26" s="47">
        <f t="shared" si="4"/>
        <v>952.4901897231289</v>
      </c>
      <c r="N26" s="48">
        <f t="shared" si="5"/>
        <v>952.4901897231289</v>
      </c>
      <c r="O26" s="40">
        <f t="shared" si="6"/>
        <v>952.4901897231289</v>
      </c>
      <c r="P26" s="41">
        <f t="shared" si="7"/>
      </c>
      <c r="Q26" s="41">
        <f t="shared" si="8"/>
      </c>
      <c r="R26" s="41">
        <f t="shared" si="9"/>
      </c>
      <c r="S26" s="41">
        <f t="shared" si="10"/>
      </c>
    </row>
    <row r="27" spans="1:19" ht="15">
      <c r="A27" s="20">
        <v>10</v>
      </c>
      <c r="B27" s="20" t="str">
        <f t="shared" si="0"/>
        <v>CONSORCIO FRANKY RUIZ</v>
      </c>
      <c r="C27" s="24">
        <f t="shared" si="1"/>
        <v>271191015</v>
      </c>
      <c r="D27" s="42" t="s">
        <v>5</v>
      </c>
      <c r="E27" s="41" t="str">
        <f t="shared" si="11"/>
        <v>SI</v>
      </c>
      <c r="F27" s="41" t="str">
        <f t="shared" si="12"/>
        <v>SI</v>
      </c>
      <c r="G27" s="40">
        <f t="shared" si="13"/>
        <v>271191015</v>
      </c>
      <c r="H27" s="50"/>
      <c r="I27" s="50"/>
      <c r="J27" s="40">
        <f t="shared" si="14"/>
        <v>946.2066693248483</v>
      </c>
      <c r="K27" s="41">
        <f t="shared" si="2"/>
      </c>
      <c r="L27" s="40">
        <f t="shared" si="3"/>
        <v>946.2066693248483</v>
      </c>
      <c r="M27" s="47">
        <f t="shared" si="4"/>
        <v>946.2066693248483</v>
      </c>
      <c r="N27" s="48">
        <f t="shared" si="5"/>
        <v>946.2066693248483</v>
      </c>
      <c r="O27" s="40">
        <f t="shared" si="6"/>
        <v>946.2066693248483</v>
      </c>
      <c r="P27" s="41">
        <f t="shared" si="7"/>
      </c>
      <c r="Q27" s="41">
        <f t="shared" si="8"/>
      </c>
      <c r="R27" s="41">
        <f t="shared" si="9"/>
      </c>
      <c r="S27" s="41">
        <f t="shared" si="10"/>
      </c>
    </row>
    <row r="28" spans="1:19" ht="15">
      <c r="A28" s="20">
        <v>11</v>
      </c>
      <c r="B28" s="20" t="str">
        <f t="shared" si="0"/>
        <v>LUCIA ISABEL PARRA</v>
      </c>
      <c r="C28" s="24">
        <f t="shared" si="1"/>
        <v>272160515</v>
      </c>
      <c r="D28" s="42" t="s">
        <v>5</v>
      </c>
      <c r="E28" s="41" t="str">
        <f t="shared" si="11"/>
        <v>SI</v>
      </c>
      <c r="F28" s="41" t="str">
        <f t="shared" si="12"/>
        <v>SI</v>
      </c>
      <c r="G28" s="40">
        <f t="shared" si="13"/>
        <v>272160515</v>
      </c>
      <c r="H28" s="50"/>
      <c r="I28" s="50"/>
      <c r="J28" s="40">
        <f t="shared" si="14"/>
        <v>974.0981940912884</v>
      </c>
      <c r="K28" s="41" t="str">
        <f t="shared" si="2"/>
        <v>GANADOR</v>
      </c>
      <c r="L28" s="40" t="str">
        <f t="shared" si="3"/>
        <v>N</v>
      </c>
      <c r="M28" s="47" t="str">
        <f t="shared" si="4"/>
        <v>N</v>
      </c>
      <c r="N28" s="48" t="str">
        <f t="shared" si="5"/>
        <v>N</v>
      </c>
      <c r="O28" s="40" t="str">
        <f t="shared" si="6"/>
        <v>N</v>
      </c>
      <c r="P28" s="41">
        <f t="shared" si="7"/>
      </c>
      <c r="Q28" s="41">
        <f t="shared" si="8"/>
      </c>
      <c r="R28" s="41">
        <f t="shared" si="9"/>
      </c>
      <c r="S28" s="41">
        <f t="shared" si="10"/>
      </c>
    </row>
    <row r="29" spans="1:19" ht="15">
      <c r="A29" s="20">
        <v>12</v>
      </c>
      <c r="B29" s="20" t="str">
        <f t="shared" si="0"/>
        <v>TORIBIO ANTONIO ANDRADE</v>
      </c>
      <c r="C29" s="24">
        <f t="shared" si="1"/>
        <v>269847335</v>
      </c>
      <c r="D29" s="42" t="s">
        <v>5</v>
      </c>
      <c r="E29" s="41" t="str">
        <f t="shared" si="11"/>
        <v>SI</v>
      </c>
      <c r="F29" s="41" t="str">
        <f t="shared" si="12"/>
        <v>SI</v>
      </c>
      <c r="G29" s="40">
        <f t="shared" si="13"/>
        <v>269847335</v>
      </c>
      <c r="H29" s="50"/>
      <c r="I29" s="50"/>
      <c r="J29" s="40">
        <f t="shared" si="14"/>
        <v>911.4894287801777</v>
      </c>
      <c r="K29" s="41">
        <f t="shared" si="2"/>
      </c>
      <c r="L29" s="40">
        <f t="shared" si="3"/>
        <v>911.4894287801777</v>
      </c>
      <c r="M29" s="47">
        <f t="shared" si="4"/>
        <v>911.4894287801777</v>
      </c>
      <c r="N29" s="48">
        <f t="shared" si="5"/>
        <v>911.4894287801777</v>
      </c>
      <c r="O29" s="40">
        <f t="shared" si="6"/>
        <v>911.4894287801777</v>
      </c>
      <c r="P29" s="41">
        <f t="shared" si="7"/>
      </c>
      <c r="Q29" s="41">
        <f t="shared" si="8"/>
      </c>
      <c r="R29" s="41">
        <f t="shared" si="9"/>
      </c>
      <c r="S29" s="41">
        <f t="shared" si="10"/>
      </c>
    </row>
    <row r="30" spans="1:19" ht="15">
      <c r="A30" s="20">
        <v>13</v>
      </c>
      <c r="B30" s="20" t="str">
        <f t="shared" si="0"/>
        <v>CRISTHIAN CAMILO MORENO</v>
      </c>
      <c r="C30" s="24">
        <f t="shared" si="1"/>
        <v>272349240</v>
      </c>
      <c r="D30" s="42" t="s">
        <v>5</v>
      </c>
      <c r="E30" s="41" t="str">
        <f t="shared" si="11"/>
        <v>SI</v>
      </c>
      <c r="F30" s="41" t="str">
        <f t="shared" si="12"/>
        <v>SI</v>
      </c>
      <c r="G30" s="40">
        <f t="shared" si="13"/>
        <v>272349240</v>
      </c>
      <c r="H30" s="50"/>
      <c r="I30" s="50"/>
      <c r="J30" s="40">
        <f t="shared" si="14"/>
        <v>963.0567804186583</v>
      </c>
      <c r="K30" s="41">
        <f t="shared" si="2"/>
      </c>
      <c r="L30" s="40">
        <f t="shared" si="3"/>
        <v>963.0567804186583</v>
      </c>
      <c r="M30" s="47">
        <f t="shared" si="4"/>
        <v>963.0567804186583</v>
      </c>
      <c r="N30" s="48" t="str">
        <f t="shared" si="5"/>
        <v>N</v>
      </c>
      <c r="O30" s="40" t="str">
        <f t="shared" si="6"/>
        <v>N</v>
      </c>
      <c r="P30" s="41">
        <f t="shared" si="7"/>
      </c>
      <c r="Q30" s="41" t="str">
        <f t="shared" si="8"/>
        <v>3º</v>
      </c>
      <c r="R30" s="41">
        <f t="shared" si="9"/>
      </c>
      <c r="S30" s="41">
        <f t="shared" si="10"/>
      </c>
    </row>
    <row r="31" spans="1:19" ht="15">
      <c r="A31" s="20">
        <v>14</v>
      </c>
      <c r="B31" s="20" t="str">
        <f t="shared" si="0"/>
        <v>FERNANDO ALONSO ORTIZ CASAS</v>
      </c>
      <c r="C31" s="24">
        <f t="shared" si="1"/>
        <v>269360658</v>
      </c>
      <c r="D31" s="42" t="s">
        <v>5</v>
      </c>
      <c r="E31" s="41" t="str">
        <f t="shared" si="11"/>
        <v>SI</v>
      </c>
      <c r="F31" s="41" t="str">
        <f t="shared" si="12"/>
        <v>SI</v>
      </c>
      <c r="G31" s="40">
        <f t="shared" si="13"/>
        <v>269360658</v>
      </c>
      <c r="H31" s="50"/>
      <c r="I31" s="50"/>
      <c r="J31" s="40">
        <f t="shared" si="14"/>
        <v>901.9004621028774</v>
      </c>
      <c r="K31" s="41">
        <f t="shared" si="2"/>
      </c>
      <c r="L31" s="40">
        <f t="shared" si="3"/>
        <v>901.9004621028774</v>
      </c>
      <c r="M31" s="47">
        <f t="shared" si="4"/>
        <v>901.9004621028774</v>
      </c>
      <c r="N31" s="48">
        <f t="shared" si="5"/>
        <v>901.9004621028774</v>
      </c>
      <c r="O31" s="40">
        <f t="shared" si="6"/>
        <v>901.9004621028774</v>
      </c>
      <c r="P31" s="41">
        <f t="shared" si="7"/>
      </c>
      <c r="Q31" s="41">
        <f t="shared" si="8"/>
      </c>
      <c r="R31" s="41">
        <f t="shared" si="9"/>
      </c>
      <c r="S31" s="41">
        <f t="shared" si="10"/>
      </c>
    </row>
    <row r="32" spans="1:19" ht="15">
      <c r="A32" s="20">
        <v>15</v>
      </c>
      <c r="B32" s="20" t="str">
        <f t="shared" si="0"/>
        <v>JUAN CARLOS MARTINEZ TEJADA</v>
      </c>
      <c r="C32" s="24">
        <f t="shared" si="1"/>
        <v>269753898</v>
      </c>
      <c r="D32" s="42" t="s">
        <v>5</v>
      </c>
      <c r="E32" s="41" t="str">
        <f t="shared" si="11"/>
        <v>SI</v>
      </c>
      <c r="F32" s="41" t="str">
        <f t="shared" si="12"/>
        <v>SI</v>
      </c>
      <c r="G32" s="40">
        <f t="shared" si="13"/>
        <v>269753898</v>
      </c>
      <c r="H32" s="50"/>
      <c r="I32" s="50"/>
      <c r="J32" s="40">
        <f t="shared" si="14"/>
        <v>909.5695442270647</v>
      </c>
      <c r="K32" s="41">
        <f t="shared" si="2"/>
      </c>
      <c r="L32" s="40">
        <f t="shared" si="3"/>
        <v>909.5695442270647</v>
      </c>
      <c r="M32" s="47">
        <f t="shared" si="4"/>
        <v>909.5695442270647</v>
      </c>
      <c r="N32" s="48">
        <f t="shared" si="5"/>
        <v>909.5695442270647</v>
      </c>
      <c r="O32" s="40">
        <f t="shared" si="6"/>
        <v>909.5695442270647</v>
      </c>
      <c r="P32" s="41">
        <f t="shared" si="7"/>
      </c>
      <c r="Q32" s="41">
        <f t="shared" si="8"/>
      </c>
      <c r="R32" s="41">
        <f t="shared" si="9"/>
      </c>
      <c r="S32" s="41">
        <f t="shared" si="10"/>
      </c>
    </row>
    <row r="33" spans="1:19" ht="15">
      <c r="A33" s="20">
        <v>16</v>
      </c>
      <c r="B33" s="20" t="str">
        <f t="shared" si="0"/>
        <v>CONSORCIO CARSOL</v>
      </c>
      <c r="C33" s="24">
        <f t="shared" si="1"/>
        <v>268058025</v>
      </c>
      <c r="D33" s="42" t="s">
        <v>5</v>
      </c>
      <c r="E33" s="41" t="str">
        <f t="shared" si="11"/>
        <v>SI</v>
      </c>
      <c r="F33" s="41" t="str">
        <f t="shared" si="12"/>
        <v>SI</v>
      </c>
      <c r="G33" s="40">
        <f t="shared" si="13"/>
        <v>268058025</v>
      </c>
      <c r="H33" s="50"/>
      <c r="I33" s="50"/>
      <c r="J33" s="40">
        <f t="shared" si="14"/>
        <v>879.945854475848</v>
      </c>
      <c r="K33" s="41">
        <f t="shared" si="2"/>
      </c>
      <c r="L33" s="40">
        <f t="shared" si="3"/>
        <v>879.945854475848</v>
      </c>
      <c r="M33" s="47">
        <f t="shared" si="4"/>
        <v>879.945854475848</v>
      </c>
      <c r="N33" s="48">
        <f t="shared" si="5"/>
        <v>879.945854475848</v>
      </c>
      <c r="O33" s="40">
        <f t="shared" si="6"/>
        <v>879.945854475848</v>
      </c>
      <c r="P33" s="41">
        <f t="shared" si="7"/>
      </c>
      <c r="Q33" s="41">
        <f t="shared" si="8"/>
      </c>
      <c r="R33" s="41">
        <f t="shared" si="9"/>
      </c>
      <c r="S33" s="41">
        <f t="shared" si="10"/>
      </c>
    </row>
    <row r="34" spans="1:19" ht="15">
      <c r="A34" s="20">
        <v>17</v>
      </c>
      <c r="B34" s="20" t="str">
        <f t="shared" si="0"/>
        <v>MARIA EUGENI A TRUJILLO SOLARTE</v>
      </c>
      <c r="C34" s="24">
        <f t="shared" si="1"/>
        <v>269721945</v>
      </c>
      <c r="D34" s="42" t="s">
        <v>5</v>
      </c>
      <c r="E34" s="41" t="str">
        <f t="shared" si="11"/>
        <v>SI</v>
      </c>
      <c r="F34" s="41" t="str">
        <f t="shared" si="12"/>
        <v>SI</v>
      </c>
      <c r="G34" s="40">
        <f t="shared" si="13"/>
        <v>269721945</v>
      </c>
      <c r="H34" s="50"/>
      <c r="I34" s="50"/>
      <c r="J34" s="40">
        <f t="shared" si="14"/>
        <v>908.9222800055958</v>
      </c>
      <c r="K34" s="41">
        <f t="shared" si="2"/>
      </c>
      <c r="L34" s="40">
        <f t="shared" si="3"/>
        <v>908.9222800055958</v>
      </c>
      <c r="M34" s="47">
        <f t="shared" si="4"/>
        <v>908.9222800055958</v>
      </c>
      <c r="N34" s="48">
        <f t="shared" si="5"/>
        <v>908.9222800055958</v>
      </c>
      <c r="O34" s="40">
        <f t="shared" si="6"/>
        <v>908.9222800055958</v>
      </c>
      <c r="P34" s="41">
        <f t="shared" si="7"/>
      </c>
      <c r="Q34" s="41">
        <f t="shared" si="8"/>
      </c>
      <c r="R34" s="41">
        <f t="shared" si="9"/>
      </c>
      <c r="S34" s="41">
        <f t="shared" si="10"/>
      </c>
    </row>
    <row r="35" spans="5:19" ht="15"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</row>
    <row r="36" spans="2:15" ht="15">
      <c r="B36" s="51" t="s">
        <v>9</v>
      </c>
      <c r="C36" s="52">
        <f>IF(D41=0,20,20-D41)</f>
        <v>17</v>
      </c>
      <c r="G36" s="10">
        <f>COUNTIF(G18:G34,"&gt;1")</f>
        <v>17</v>
      </c>
      <c r="L36" s="29">
        <f>MAX(L18:L34)</f>
        <v>966.5135752246978</v>
      </c>
      <c r="M36" s="29">
        <f>MAX(M18:M34)</f>
        <v>963.0567804186583</v>
      </c>
      <c r="N36" s="29">
        <f>MAX(N18:N34)</f>
        <v>959.3132794108049</v>
      </c>
      <c r="O36" s="30">
        <f>MAX(O18:O34)</f>
        <v>952.6335769427329</v>
      </c>
    </row>
    <row r="37" spans="9:11" ht="27" customHeight="1">
      <c r="I37" s="8" t="s">
        <v>16</v>
      </c>
      <c r="J37" s="9">
        <f>MAX(J18:J34)</f>
        <v>974.0981940912884</v>
      </c>
      <c r="K37" s="57" t="s">
        <v>26</v>
      </c>
    </row>
    <row r="38" spans="9:10" ht="15">
      <c r="I38" s="55"/>
      <c r="J38" s="56"/>
    </row>
    <row r="39" spans="4:8" ht="15">
      <c r="D39" s="4" t="s">
        <v>5</v>
      </c>
      <c r="E39" s="4"/>
      <c r="F39" s="4"/>
      <c r="G39" s="77" t="s">
        <v>7</v>
      </c>
      <c r="H39" s="7"/>
    </row>
    <row r="40" spans="4:8" ht="15">
      <c r="D40" s="5" t="s">
        <v>6</v>
      </c>
      <c r="E40" s="5"/>
      <c r="F40" s="5"/>
      <c r="G40" s="77"/>
      <c r="H40" s="7"/>
    </row>
    <row r="41" spans="4:6" ht="15">
      <c r="D41" s="53">
        <f>COUNT(DATOS!B7:B26)</f>
        <v>3</v>
      </c>
      <c r="E41" s="53"/>
      <c r="F41" s="53"/>
    </row>
    <row r="42" spans="4:6" ht="15">
      <c r="D42" s="54">
        <f>IF(E14="SI",D14,)</f>
        <v>0</v>
      </c>
      <c r="E42" s="54"/>
      <c r="F42" s="54"/>
    </row>
    <row r="43" spans="4:6" ht="15">
      <c r="D43" s="54">
        <f>IF(E15="SI",D15,)</f>
        <v>0</v>
      </c>
      <c r="E43" s="54"/>
      <c r="F43" s="54"/>
    </row>
    <row r="44" spans="4:6" ht="15">
      <c r="D44" s="54">
        <f>IF(E16="SI",D16,)</f>
        <v>271978043.9649634</v>
      </c>
      <c r="E44" s="54"/>
      <c r="F44" s="54"/>
    </row>
    <row r="100" ht="15">
      <c r="E100" s="1"/>
    </row>
    <row r="101" ht="15">
      <c r="E101" s="1"/>
    </row>
    <row r="102" ht="15">
      <c r="E102" s="1"/>
    </row>
    <row r="103" ht="15">
      <c r="E103" s="1"/>
    </row>
    <row r="104" ht="15">
      <c r="E104" s="1"/>
    </row>
    <row r="105" ht="15">
      <c r="E105" s="1"/>
    </row>
    <row r="106" ht="15">
      <c r="E106" s="1"/>
    </row>
    <row r="107" ht="15">
      <c r="E107" s="1"/>
    </row>
    <row r="108" ht="15">
      <c r="E108" s="1"/>
    </row>
    <row r="109" ht="15">
      <c r="E109" s="1"/>
    </row>
    <row r="110" ht="15">
      <c r="E110" s="1"/>
    </row>
    <row r="111" ht="15">
      <c r="E111" s="1"/>
    </row>
    <row r="112" ht="15">
      <c r="E112" s="1"/>
    </row>
    <row r="113" ht="15">
      <c r="E113" s="1"/>
    </row>
    <row r="114" ht="15">
      <c r="E114" s="1"/>
    </row>
    <row r="115" ht="15">
      <c r="E115" s="1"/>
    </row>
    <row r="116" ht="15">
      <c r="E116" s="1"/>
    </row>
    <row r="117" ht="15">
      <c r="E117" s="1"/>
    </row>
    <row r="118" ht="15">
      <c r="E118" s="1"/>
    </row>
    <row r="119" ht="15">
      <c r="E119" s="1"/>
    </row>
    <row r="127" ht="15">
      <c r="G127" s="1"/>
    </row>
    <row r="128" ht="15">
      <c r="G128" s="1"/>
    </row>
    <row r="129" ht="15">
      <c r="G129" s="1"/>
    </row>
    <row r="130" ht="15">
      <c r="G130" s="1"/>
    </row>
    <row r="131" ht="15">
      <c r="G131" s="1"/>
    </row>
    <row r="132" ht="15">
      <c r="G132" s="1"/>
    </row>
    <row r="133" ht="15">
      <c r="G133" s="1"/>
    </row>
    <row r="134" ht="15">
      <c r="G134" s="1"/>
    </row>
    <row r="135" ht="15">
      <c r="G135" s="1"/>
    </row>
    <row r="136" ht="15">
      <c r="G136" s="1"/>
    </row>
    <row r="137" ht="15">
      <c r="G137" s="1"/>
    </row>
    <row r="138" ht="15">
      <c r="G138" s="1"/>
    </row>
    <row r="139" ht="15">
      <c r="G139" s="1"/>
    </row>
    <row r="140" ht="15">
      <c r="G140" s="1"/>
    </row>
    <row r="141" ht="15">
      <c r="G141" s="1"/>
    </row>
    <row r="142" ht="15">
      <c r="G142" s="1"/>
    </row>
    <row r="143" ht="15">
      <c r="G143" s="1"/>
    </row>
    <row r="144" ht="15">
      <c r="G144" s="1"/>
    </row>
    <row r="145" ht="15">
      <c r="G145" s="1"/>
    </row>
    <row r="146" ht="15">
      <c r="G146" s="1"/>
    </row>
  </sheetData>
  <sheetProtection/>
  <mergeCells count="11">
    <mergeCell ref="G39:G40"/>
    <mergeCell ref="B10:K10"/>
    <mergeCell ref="J9:K9"/>
    <mergeCell ref="A7:S7"/>
    <mergeCell ref="P17:S17"/>
    <mergeCell ref="A1:S1"/>
    <mergeCell ref="A2:S2"/>
    <mergeCell ref="A3:S3"/>
    <mergeCell ref="A4:S4"/>
    <mergeCell ref="A5:S5"/>
    <mergeCell ref="B14:B16"/>
  </mergeCells>
  <dataValidations count="2">
    <dataValidation type="list" allowBlank="1" showInputMessage="1" showErrorMessage="1" sqref="E100:E119 D18:D34 G127:G146">
      <formula1>$D$38:$D$40</formula1>
    </dataValidation>
    <dataValidation type="list" allowBlank="1" showInputMessage="1" showErrorMessage="1" sqref="E14:E16">
      <formula1>$D$39:$D$40</formula1>
    </dataValidation>
  </dataValidations>
  <printOptions horizontalCentered="1"/>
  <pageMargins left="0.31496062992125984" right="0.31496062992125984" top="0.15748031496062992" bottom="0.15748031496062992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CONVENIO INVIAS</dc:creator>
  <cp:keywords/>
  <dc:description/>
  <cp:lastModifiedBy>IsabelG</cp:lastModifiedBy>
  <cp:lastPrinted>2010-11-23T22:24:35Z</cp:lastPrinted>
  <dcterms:created xsi:type="dcterms:W3CDTF">2010-03-17T04:07:38Z</dcterms:created>
  <dcterms:modified xsi:type="dcterms:W3CDTF">2010-11-23T22:32:53Z</dcterms:modified>
  <cp:category/>
  <cp:version/>
  <cp:contentType/>
  <cp:contentStatus/>
</cp:coreProperties>
</file>